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W:\Developpement_Conseil\Observatoire_Economique\Résultats éco exploit viticoles &amp; Référentiel Ph Abadie\Coûts pulvé\OAD Eco Pulvé 33\"/>
    </mc:Choice>
  </mc:AlternateContent>
  <xr:revisionPtr revIDLastSave="0" documentId="13_ncr:1_{754C04C8-32CE-4D00-9BFF-4BF105D529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</sheets>
  <definedNames>
    <definedName name="Confiné">Feuil1!$G$19:$G$20</definedName>
    <definedName name="Z_C339F036_BF73_40DC_848E_64FC405E3A6A_.wvu.Cols" localSheetId="0" hidden="1">Feuil1!$G:$L</definedName>
  </definedNames>
  <calcPr calcId="191029" concurrentCalc="0"/>
  <customWorkbookViews>
    <customWorkbookView name="ABADIE, Philippe - Affichage personnalisé" guid="{C339F036-BF73-40DC-848E-64FC405E3A6A}" mergeInterval="0" personalView="1" maximized="1" xWindow="-8" yWindow="-8" windowWidth="1382" windowHeight="744" activeSheetId="1"/>
  </customWorkbookViews>
  <webPublishing vml="1" allowPng="1" targetScreenSize="1024x768"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4" i="1" l="1"/>
  <c r="E42" i="1"/>
  <c r="J24" i="1"/>
  <c r="H32" i="1"/>
  <c r="E48" i="1"/>
  <c r="E50" i="1"/>
  <c r="D48" i="1"/>
  <c r="D50" i="1"/>
  <c r="F50" i="1"/>
  <c r="H13" i="1"/>
  <c r="I13" i="1"/>
  <c r="H31" i="1"/>
  <c r="E49" i="1"/>
  <c r="D49" i="1"/>
  <c r="D47" i="1"/>
  <c r="D44" i="1"/>
  <c r="E43" i="1"/>
  <c r="D43" i="1"/>
  <c r="F43" i="1"/>
  <c r="I31" i="1"/>
  <c r="I32" i="1"/>
  <c r="E44" i="1"/>
  <c r="F44" i="1"/>
  <c r="J31" i="1"/>
  <c r="J32" i="1"/>
  <c r="E45" i="1"/>
  <c r="D45" i="1"/>
  <c r="F45" i="1"/>
  <c r="K31" i="1"/>
  <c r="K32" i="1"/>
  <c r="E46" i="1"/>
  <c r="D46" i="1"/>
  <c r="F46" i="1"/>
  <c r="L31" i="1"/>
  <c r="L32" i="1"/>
  <c r="E47" i="1"/>
  <c r="F47" i="1"/>
  <c r="F48" i="1"/>
  <c r="F49" i="1"/>
  <c r="D42" i="1"/>
  <c r="F42" i="1"/>
  <c r="J27" i="1"/>
  <c r="H26" i="1"/>
  <c r="L27" i="1"/>
  <c r="I26" i="1"/>
  <c r="L26" i="1"/>
  <c r="I27" i="1"/>
  <c r="H27" i="1"/>
  <c r="J26" i="1"/>
  <c r="K26" i="1"/>
  <c r="K27" i="1"/>
</calcChain>
</file>

<file path=xl/sharedStrings.xml><?xml version="1.0" encoding="utf-8"?>
<sst xmlns="http://schemas.openxmlformats.org/spreadsheetml/2006/main" count="99" uniqueCount="78">
  <si>
    <t>Prix du pulvérisateur</t>
  </si>
  <si>
    <t>oui</t>
  </si>
  <si>
    <t>non</t>
  </si>
  <si>
    <t>Nombre de traitements par an</t>
  </si>
  <si>
    <t>Nombre de faces du pulvé</t>
  </si>
  <si>
    <t>Pulvé 1</t>
  </si>
  <si>
    <t>IFT</t>
  </si>
  <si>
    <t>Cout annuel des produits phytos</t>
  </si>
  <si>
    <t xml:space="preserve">cout horaire de la main d'œuvre </t>
  </si>
  <si>
    <t>Subventions</t>
  </si>
  <si>
    <t>Prix du tract2</t>
  </si>
  <si>
    <t>oui-oui</t>
  </si>
  <si>
    <t>oui-Non</t>
  </si>
  <si>
    <t>Non-oui</t>
  </si>
  <si>
    <t>Non-non</t>
  </si>
  <si>
    <t xml:space="preserve">Prix gazoil </t>
  </si>
  <si>
    <t>consom</t>
  </si>
  <si>
    <t>€</t>
  </si>
  <si>
    <t>l/h</t>
  </si>
  <si>
    <t>h</t>
  </si>
  <si>
    <t>Temps nécessaire pour un traitement en h</t>
  </si>
  <si>
    <t>Le tracteur fait-il d'autres travaux à part les traitements</t>
  </si>
  <si>
    <t>cout annuel</t>
  </si>
  <si>
    <t>cout MO</t>
  </si>
  <si>
    <t>Couts phyto</t>
  </si>
  <si>
    <t>cout matériel</t>
  </si>
  <si>
    <t>couts gazole</t>
  </si>
  <si>
    <t>cout des produits phytos/an</t>
  </si>
  <si>
    <t>Amortissements/an</t>
  </si>
  <si>
    <t>Cout total annuel</t>
  </si>
  <si>
    <t>km/h</t>
  </si>
  <si>
    <t>Consommation de gazole en traitement</t>
  </si>
  <si>
    <t>consommation de gazole en traitement</t>
  </si>
  <si>
    <t>Si vous utilisez un autre tracteur, entrez son prix</t>
  </si>
  <si>
    <t>cout de la main-d'œuvre/an</t>
  </si>
  <si>
    <t>Le tracteur fait-il d'autres  travaux à part les traitements</t>
  </si>
  <si>
    <t xml:space="preserve">Résultats </t>
  </si>
  <si>
    <t xml:space="preserve">Prix de pulvérisateur </t>
  </si>
  <si>
    <t>Le pulvérisateur est-il confiné</t>
  </si>
  <si>
    <t>Temps</t>
  </si>
  <si>
    <t>temps de conduite</t>
  </si>
  <si>
    <t>temps autres</t>
  </si>
  <si>
    <t>cout gazole/an</t>
  </si>
  <si>
    <t>Simulation de changement de pulvérisateur sur vigne</t>
  </si>
  <si>
    <t>Prix du tracteur utilisé pour les traitements</t>
  </si>
  <si>
    <t>Vitesse d'avancement pour les traitements</t>
  </si>
  <si>
    <t>Passage tous les rangs (1) tous les 2 rangs (2) tous les 3 (3) etc…</t>
  </si>
  <si>
    <t>Temps nécessaire pour effectuer un traitement complet</t>
  </si>
  <si>
    <t>ha</t>
  </si>
  <si>
    <t>Surface traitée</t>
  </si>
  <si>
    <t>Coût annuel des traitements par hectare</t>
  </si>
  <si>
    <t>Pulvérisateur existant sur l'exploitation : Pulvé 1</t>
  </si>
  <si>
    <t>Nouveau Pulvérisateur : Pulvé 2</t>
  </si>
  <si>
    <t>Pulvé 2</t>
  </si>
  <si>
    <t>Ces résultats sont donnés à titre indicatif</t>
  </si>
  <si>
    <t>Un étude plus approndie en vue d'un diagnostic complet peut être réalisée par les conseillers de la Chambre d'Agriculture</t>
  </si>
  <si>
    <t>(83 % du temps est passé effectivement dans la vigne - le reste en remplissage et autres)</t>
  </si>
  <si>
    <t>Taux de récupération moyen</t>
  </si>
  <si>
    <t>%</t>
  </si>
  <si>
    <t>Coût du tracteur evalué avec un ammortissement sur 7 ans à raison de 300 h/an</t>
  </si>
  <si>
    <t>Coût des pulvérisateurs evalué avec un ammortissement sur 7 ans</t>
  </si>
  <si>
    <t>Cout moyen d'un traitement</t>
  </si>
  <si>
    <t>Coût total annuel par hectare</t>
  </si>
  <si>
    <t>Attention des coûts supplémentaires peuvent être engendrés par les pics de travail en période déjà tendue en besoin de main d'œuvre</t>
  </si>
  <si>
    <t>Pour les appareils confinés il n'a pas été tenu compte du temps de remplissage moindre, mais celui ci peut être compensé par l'entretien</t>
  </si>
  <si>
    <t>Différence</t>
  </si>
  <si>
    <t>Exemple</t>
  </si>
  <si>
    <t xml:space="preserve">         coûts et les temps de travaux</t>
  </si>
  <si>
    <t>Eco Pulvé 33</t>
  </si>
  <si>
    <t>Optimisation économique de la pulvérisation en viticulture</t>
  </si>
  <si>
    <t>Outil d'Aide à la Décision en Viticulture</t>
  </si>
  <si>
    <t xml:space="preserve">La densité de plantation et le parcellaire (dispersion, pentes, forme des parcelles) peuvent avoir une incidence très importantes sur les </t>
  </si>
  <si>
    <t>Contact: Service Entreprises Chambre d'Agriculture de la Gironde  05 56 79 64 14   entreprises@gironde.chambagri.fr</t>
  </si>
  <si>
    <r>
      <rPr>
        <b/>
        <sz val="11"/>
        <color theme="1"/>
        <rFont val="Calibri"/>
        <family val="2"/>
        <scheme val="minor"/>
      </rPr>
      <t>Attention</t>
    </r>
    <r>
      <rPr>
        <sz val="11"/>
        <color theme="1"/>
        <rFont val="Calibri"/>
        <family val="2"/>
        <scheme val="minor"/>
      </rPr>
      <t xml:space="preserve">: cet outil a pour objet de </t>
    </r>
    <r>
      <rPr>
        <b/>
        <sz val="11"/>
        <color theme="1"/>
        <rFont val="Calibri"/>
        <family val="2"/>
        <scheme val="minor"/>
      </rPr>
      <t>comparer le changement de pulvérisateur</t>
    </r>
    <r>
      <rPr>
        <sz val="11"/>
        <color theme="1"/>
        <rFont val="Calibri"/>
        <family val="2"/>
        <scheme val="minor"/>
      </rPr>
      <t xml:space="preserve"> entre son pulvérisateur actuel et un pulvérisateur alternatif. Pour aider à la décision. 
Il n'a pas pour vocation de calculer au plus juste ses coûts de production.</t>
    </r>
  </si>
  <si>
    <r>
      <t>Les prix de l'heure salarié et du GNR sont indicatifs (</t>
    </r>
    <r>
      <rPr>
        <b/>
        <sz val="11"/>
        <color theme="1"/>
        <rFont val="Calibri"/>
        <family val="2"/>
        <scheme val="minor"/>
      </rPr>
      <t>cf.notes en bas du tableau)</t>
    </r>
    <r>
      <rPr>
        <sz val="11"/>
        <color theme="1"/>
        <rFont val="Calibri"/>
        <family val="2"/>
        <scheme val="minor"/>
      </rPr>
      <t>. L'important est d'avoir une approche de la différence 
des coûts et des temps de pulvérisation pour aider à la prise de décision lors du changement de pulvé.</t>
    </r>
  </si>
  <si>
    <t>Coût complet de la main d'œuvre : 19 € /h (voir référentiels Chambre d'Agriculture de la Gironde)</t>
  </si>
  <si>
    <t>net de TICPE, de TVA et de l'aide Ukraine</t>
  </si>
  <si>
    <t>Coût du GNR 1,10 € HT/l (TICPE, TVA et aide Ukraine déduites), il n'a pas été tenu compte des différents frais de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</si>
</sst>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_-* #,##0\ [$€-40C]_-;\-* #,##0\ [$€-40C]_-;_-* &quot;-&quot;??\ [$€-40C]_-;_-@_-"/>
    <numFmt numFmtId="167" formatCode="_-* #,##0\ _€_-;\-* #,##0\ _€_-;_-* &quot;-&quot;??\ _€_-;_-@_-"/>
    <numFmt numFmtId="168" formatCode="0.0"/>
    <numFmt numFmtId="169" formatCode="#,##0.0"/>
    <numFmt numFmtId="170" formatCode="#,##0\ [$€-40C]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48"/>
      <color rgb="FF92D050"/>
      <name val="Calibri"/>
      <family val="2"/>
      <scheme val="minor"/>
    </font>
    <font>
      <sz val="14"/>
      <color rgb="FF9C0006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92D05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92D05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6" fillId="6" borderId="0" applyNumberFormat="0" applyBorder="0" applyAlignment="0" applyProtection="0"/>
    <xf numFmtId="0" fontId="1" fillId="7" borderId="4" applyNumberFormat="0" applyFont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</cellStyleXfs>
  <cellXfs count="61">
    <xf numFmtId="0" fontId="0" fillId="0" borderId="0" xfId="0"/>
    <xf numFmtId="165" fontId="0" fillId="0" borderId="0" xfId="0" applyNumberFormat="1"/>
    <xf numFmtId="0" fontId="0" fillId="0" borderId="0" xfId="0" applyProtection="1">
      <protection hidden="1"/>
    </xf>
    <xf numFmtId="166" fontId="0" fillId="0" borderId="0" xfId="0" applyNumberFormat="1" applyAlignment="1">
      <alignment horizontal="center" vertical="center"/>
    </xf>
    <xf numFmtId="0" fontId="5" fillId="0" borderId="0" xfId="0" applyFont="1"/>
    <xf numFmtId="0" fontId="4" fillId="4" borderId="0" xfId="3" applyFont="1" applyFill="1"/>
    <xf numFmtId="0" fontId="7" fillId="0" borderId="0" xfId="0" applyFont="1"/>
    <xf numFmtId="0" fontId="9" fillId="0" borderId="0" xfId="0" applyFont="1"/>
    <xf numFmtId="167" fontId="10" fillId="0" borderId="0" xfId="1" applyNumberFormat="1" applyFont="1"/>
    <xf numFmtId="0" fontId="10" fillId="0" borderId="0" xfId="0" applyFont="1"/>
    <xf numFmtId="0" fontId="11" fillId="0" borderId="0" xfId="0" applyFont="1"/>
    <xf numFmtId="0" fontId="5" fillId="10" borderId="0" xfId="0" applyFont="1" applyFill="1"/>
    <xf numFmtId="0" fontId="2" fillId="2" borderId="0" xfId="2" applyAlignment="1">
      <alignment horizontal="right" indent="1"/>
    </xf>
    <xf numFmtId="0" fontId="0" fillId="0" borderId="0" xfId="0" applyAlignment="1">
      <alignment horizontal="right" indent="2"/>
    </xf>
    <xf numFmtId="0" fontId="2" fillId="2" borderId="0" xfId="2" applyAlignment="1">
      <alignment horizontal="right" indent="2"/>
    </xf>
    <xf numFmtId="2" fontId="0" fillId="0" borderId="0" xfId="0" applyNumberFormat="1" applyAlignment="1">
      <alignment horizontal="right" vertical="center" indent="2"/>
    </xf>
    <xf numFmtId="168" fontId="0" fillId="0" borderId="0" xfId="0" applyNumberFormat="1" applyAlignment="1">
      <alignment horizontal="right" vertical="center" indent="2"/>
    </xf>
    <xf numFmtId="166" fontId="0" fillId="0" borderId="0" xfId="0" applyNumberFormat="1" applyAlignment="1">
      <alignment horizontal="right" vertical="center" indent="2"/>
    </xf>
    <xf numFmtId="166" fontId="0" fillId="10" borderId="0" xfId="0" applyNumberFormat="1" applyFill="1" applyAlignment="1">
      <alignment horizontal="right" vertical="center" indent="2"/>
    </xf>
    <xf numFmtId="167" fontId="10" fillId="0" borderId="0" xfId="1" applyNumberFormat="1" applyFont="1" applyAlignment="1">
      <alignment horizontal="right" indent="2"/>
    </xf>
    <xf numFmtId="0" fontId="10" fillId="0" borderId="0" xfId="0" applyFont="1" applyAlignment="1">
      <alignment horizontal="right" indent="2"/>
    </xf>
    <xf numFmtId="166" fontId="0" fillId="0" borderId="0" xfId="0" applyNumberFormat="1" applyAlignment="1">
      <alignment horizontal="left" vertical="center" indent="1"/>
    </xf>
    <xf numFmtId="166" fontId="0" fillId="10" borderId="0" xfId="0" applyNumberFormat="1" applyFill="1" applyAlignment="1">
      <alignment horizontal="left" vertical="center" indent="1"/>
    </xf>
    <xf numFmtId="0" fontId="5" fillId="0" borderId="0" xfId="0" applyFont="1" applyProtection="1">
      <protection locked="0" hidden="1"/>
    </xf>
    <xf numFmtId="0" fontId="5" fillId="0" borderId="0" xfId="0" applyFont="1" applyAlignment="1" applyProtection="1">
      <protection locked="0" hidden="1"/>
    </xf>
    <xf numFmtId="0" fontId="0" fillId="0" borderId="0" xfId="0" applyProtection="1">
      <protection locked="0" hidden="1"/>
    </xf>
    <xf numFmtId="0" fontId="0" fillId="0" borderId="0" xfId="0" applyAlignment="1" applyProtection="1">
      <alignment horizontal="right" vertical="center" indent="2"/>
      <protection locked="0" hidden="1"/>
    </xf>
    <xf numFmtId="0" fontId="8" fillId="2" borderId="0" xfId="2" applyFont="1" applyProtection="1">
      <protection locked="0" hidden="1"/>
    </xf>
    <xf numFmtId="0" fontId="0" fillId="0" borderId="0" xfId="0" applyAlignment="1" applyProtection="1">
      <alignment horizontal="left"/>
      <protection hidden="1"/>
    </xf>
    <xf numFmtId="0" fontId="12" fillId="11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0" fontId="12" fillId="5" borderId="0" xfId="0" applyFont="1" applyFill="1" applyAlignment="1" applyProtection="1">
      <alignment horizontal="left"/>
      <protection hidden="1"/>
    </xf>
    <xf numFmtId="0" fontId="12" fillId="5" borderId="5" xfId="0" applyFont="1" applyFill="1" applyBorder="1" applyAlignment="1">
      <alignment horizontal="left"/>
    </xf>
    <xf numFmtId="0" fontId="12" fillId="5" borderId="5" xfId="0" applyFont="1" applyFill="1" applyBorder="1" applyAlignment="1" applyProtection="1">
      <alignment horizontal="left"/>
      <protection hidden="1"/>
    </xf>
    <xf numFmtId="167" fontId="0" fillId="5" borderId="2" xfId="1" applyNumberFormat="1" applyFont="1" applyFill="1" applyBorder="1" applyAlignment="1" applyProtection="1">
      <alignment horizontal="right" vertical="center" indent="1"/>
      <protection locked="0" hidden="1"/>
    </xf>
    <xf numFmtId="167" fontId="0" fillId="5" borderId="3" xfId="1" applyNumberFormat="1" applyFont="1" applyFill="1" applyBorder="1" applyAlignment="1" applyProtection="1">
      <alignment horizontal="right" vertical="center" indent="1"/>
      <protection locked="0" hidden="1"/>
    </xf>
    <xf numFmtId="0" fontId="0" fillId="5" borderId="3" xfId="0" applyFill="1" applyBorder="1" applyAlignment="1" applyProtection="1">
      <alignment horizontal="right" vertical="center" indent="1"/>
      <protection locked="0" hidden="1"/>
    </xf>
    <xf numFmtId="0" fontId="0" fillId="5" borderId="1" xfId="0" applyFill="1" applyBorder="1" applyAlignment="1" applyProtection="1">
      <alignment horizontal="right" vertical="center" indent="1"/>
      <protection locked="0" hidden="1"/>
    </xf>
    <xf numFmtId="0" fontId="0" fillId="5" borderId="2" xfId="0" applyFill="1" applyBorder="1" applyAlignment="1" applyProtection="1">
      <alignment horizontal="right" vertical="center" indent="1"/>
      <protection locked="0" hidden="1"/>
    </xf>
    <xf numFmtId="4" fontId="0" fillId="12" borderId="0" xfId="0" applyNumberFormat="1" applyFont="1" applyFill="1"/>
    <xf numFmtId="169" fontId="0" fillId="12" borderId="0" xfId="0" applyNumberFormat="1" applyFont="1" applyFill="1"/>
    <xf numFmtId="170" fontId="0" fillId="12" borderId="0" xfId="0" applyNumberFormat="1" applyFont="1" applyFill="1"/>
    <xf numFmtId="170" fontId="0" fillId="13" borderId="0" xfId="0" applyNumberFormat="1" applyFont="1" applyFill="1"/>
    <xf numFmtId="0" fontId="0" fillId="11" borderId="0" xfId="0" applyFill="1" applyAlignment="1" applyProtection="1">
      <alignment horizontal="right" indent="2"/>
      <protection locked="0" hidden="1"/>
    </xf>
    <xf numFmtId="0" fontId="0" fillId="11" borderId="0" xfId="0" applyFill="1" applyAlignment="1" applyProtection="1">
      <alignment horizontal="right" vertical="center" indent="2"/>
      <protection locked="0" hidden="1"/>
    </xf>
    <xf numFmtId="0" fontId="5" fillId="0" borderId="0" xfId="0" applyFont="1" applyAlignment="1">
      <alignment horizontal="right" indent="2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0" borderId="0" xfId="0" applyAlignment="1">
      <alignment wrapText="1"/>
    </xf>
    <xf numFmtId="0" fontId="18" fillId="0" borderId="0" xfId="0" applyFont="1"/>
    <xf numFmtId="0" fontId="19" fillId="0" borderId="0" xfId="0" applyFont="1" applyFill="1"/>
    <xf numFmtId="0" fontId="19" fillId="0" borderId="0" xfId="6" applyFont="1" applyFill="1"/>
    <xf numFmtId="0" fontId="19" fillId="0" borderId="0" xfId="7" applyFont="1" applyFill="1"/>
    <xf numFmtId="0" fontId="19" fillId="0" borderId="0" xfId="0" applyFont="1" applyFill="1" applyProtection="1">
      <protection hidden="1"/>
    </xf>
    <xf numFmtId="0" fontId="19" fillId="0" borderId="0" xfId="3" applyFont="1" applyFill="1" applyProtection="1">
      <protection hidden="1"/>
    </xf>
    <xf numFmtId="0" fontId="19" fillId="0" borderId="0" xfId="4" applyFont="1" applyFill="1" applyProtection="1">
      <protection hidden="1"/>
    </xf>
    <xf numFmtId="0" fontId="19" fillId="0" borderId="0" xfId="2" applyFont="1" applyFill="1" applyProtection="1">
      <protection hidden="1"/>
    </xf>
    <xf numFmtId="0" fontId="19" fillId="0" borderId="4" xfId="5" applyFont="1" applyFill="1" applyProtection="1">
      <protection hidden="1"/>
    </xf>
    <xf numFmtId="167" fontId="19" fillId="0" borderId="0" xfId="4" applyNumberFormat="1" applyFont="1" applyFill="1" applyProtection="1">
      <protection hidden="1"/>
    </xf>
  </cellXfs>
  <cellStyles count="8">
    <cellStyle name="40 % - Accent3" xfId="6" builtinId="39"/>
    <cellStyle name="40 % - Accent5" xfId="7" builtinId="47"/>
    <cellStyle name="Insatisfaisant" xfId="2" builtinId="27"/>
    <cellStyle name="Milliers" xfId="1" builtinId="3"/>
    <cellStyle name="Neutre" xfId="3" builtinId="28"/>
    <cellStyle name="Normal" xfId="0" builtinId="0"/>
    <cellStyle name="Note" xfId="5" builtinId="10"/>
    <cellStyle name="Satisfaisant" xfId="4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66750</xdr:colOff>
      <xdr:row>0</xdr:row>
      <xdr:rowOff>210896</xdr:rowOff>
    </xdr:from>
    <xdr:to>
      <xdr:col>1</xdr:col>
      <xdr:colOff>914399</xdr:colOff>
      <xdr:row>6</xdr:row>
      <xdr:rowOff>93980</xdr:rowOff>
    </xdr:to>
    <xdr:pic>
      <xdr:nvPicPr>
        <xdr:cNvPr id="2" name="Picture 8" descr="C:\MC\LOGO\CA33\Nouveau logo 2010\APCA_CA_Gironde_Q.t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50" y="210896"/>
          <a:ext cx="1673149" cy="1859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3"/>
  <sheetViews>
    <sheetView tabSelected="1" workbookViewId="0">
      <selection activeCell="D36" sqref="D36"/>
    </sheetView>
  </sheetViews>
  <sheetFormatPr baseColWidth="10" defaultRowHeight="15" x14ac:dyDescent="0.25"/>
  <cols>
    <col min="2" max="2" width="15.28515625" customWidth="1"/>
    <col min="3" max="3" width="50.42578125" bestFit="1" customWidth="1"/>
    <col min="4" max="4" width="14.42578125" style="13" bestFit="1" customWidth="1"/>
    <col min="5" max="5" width="14.42578125" customWidth="1"/>
    <col min="6" max="7" width="13.7109375" customWidth="1"/>
    <col min="8" max="8" width="14.140625" customWidth="1"/>
    <col min="9" max="9" width="15" customWidth="1"/>
    <col min="10" max="10" width="15.7109375" customWidth="1"/>
    <col min="11" max="11" width="16.42578125" customWidth="1"/>
    <col min="12" max="12" width="16" customWidth="1"/>
    <col min="13" max="13" width="11.42578125" customWidth="1"/>
  </cols>
  <sheetData>
    <row r="1" spans="3:12" ht="61.5" x14ac:dyDescent="0.9">
      <c r="C1" s="6" t="s">
        <v>68</v>
      </c>
    </row>
    <row r="2" spans="3:12" ht="18.75" x14ac:dyDescent="0.3">
      <c r="C2" s="46" t="s">
        <v>70</v>
      </c>
    </row>
    <row r="3" spans="3:12" ht="18.75" x14ac:dyDescent="0.3">
      <c r="C3" s="47"/>
    </row>
    <row r="4" spans="3:12" ht="18.75" x14ac:dyDescent="0.3">
      <c r="C4" s="47"/>
    </row>
    <row r="5" spans="3:12" ht="18.75" x14ac:dyDescent="0.3">
      <c r="C5" s="48" t="s">
        <v>69</v>
      </c>
    </row>
    <row r="6" spans="3:12" ht="18.75" x14ac:dyDescent="0.3">
      <c r="C6" s="49" t="s">
        <v>43</v>
      </c>
    </row>
    <row r="7" spans="3:12" ht="90" x14ac:dyDescent="0.25">
      <c r="C7" s="50" t="s">
        <v>73</v>
      </c>
    </row>
    <row r="8" spans="3:12" ht="75" x14ac:dyDescent="0.25">
      <c r="C8" s="50" t="s">
        <v>74</v>
      </c>
    </row>
    <row r="9" spans="3:12" ht="18.75" x14ac:dyDescent="0.3">
      <c r="C9" s="27" t="s">
        <v>51</v>
      </c>
      <c r="D9" s="43"/>
      <c r="F9" s="29" t="s">
        <v>66</v>
      </c>
    </row>
    <row r="10" spans="3:12" x14ac:dyDescent="0.25">
      <c r="C10" s="23" t="s">
        <v>49</v>
      </c>
      <c r="D10" s="34"/>
      <c r="E10" s="1" t="s">
        <v>48</v>
      </c>
      <c r="F10" s="30">
        <v>40</v>
      </c>
    </row>
    <row r="11" spans="3:12" x14ac:dyDescent="0.25">
      <c r="C11" s="23" t="s">
        <v>44</v>
      </c>
      <c r="D11" s="34"/>
      <c r="E11" s="1" t="s">
        <v>17</v>
      </c>
      <c r="F11" s="32">
        <v>42000</v>
      </c>
    </row>
    <row r="12" spans="3:12" x14ac:dyDescent="0.25">
      <c r="C12" s="24" t="s">
        <v>35</v>
      </c>
      <c r="D12" s="35"/>
      <c r="E12" s="1"/>
      <c r="F12" s="32" t="s">
        <v>1</v>
      </c>
      <c r="G12" s="52"/>
      <c r="H12" s="53" t="s">
        <v>40</v>
      </c>
      <c r="I12" s="54" t="s">
        <v>41</v>
      </c>
      <c r="J12" s="52"/>
      <c r="K12" s="52"/>
      <c r="L12" s="52"/>
    </row>
    <row r="13" spans="3:12" x14ac:dyDescent="0.25">
      <c r="C13" s="23" t="s">
        <v>31</v>
      </c>
      <c r="D13" s="36"/>
      <c r="E13" t="s">
        <v>18</v>
      </c>
      <c r="F13" s="32">
        <v>12</v>
      </c>
      <c r="G13" s="52" t="s">
        <v>39</v>
      </c>
      <c r="H13" s="53">
        <f>(D21-1)*0.83</f>
        <v>-0.83</v>
      </c>
      <c r="I13" s="54">
        <f>D21-H13</f>
        <v>0.83</v>
      </c>
      <c r="J13" s="52"/>
      <c r="K13" s="52"/>
      <c r="L13" s="52"/>
    </row>
    <row r="14" spans="3:12" x14ac:dyDescent="0.25">
      <c r="C14" s="23" t="s">
        <v>45</v>
      </c>
      <c r="D14" s="36"/>
      <c r="E14" t="s">
        <v>30</v>
      </c>
      <c r="F14" s="32">
        <v>6.5</v>
      </c>
      <c r="G14" s="52"/>
      <c r="H14" s="52" t="s">
        <v>56</v>
      </c>
      <c r="I14" s="52"/>
      <c r="J14" s="52"/>
      <c r="K14" s="52"/>
      <c r="L14" s="52"/>
    </row>
    <row r="15" spans="3:12" x14ac:dyDescent="0.25">
      <c r="C15" s="23" t="s">
        <v>0</v>
      </c>
      <c r="D15" s="35"/>
      <c r="E15" t="s">
        <v>17</v>
      </c>
      <c r="F15" s="32">
        <v>14000</v>
      </c>
      <c r="G15" s="52"/>
      <c r="H15" s="52"/>
      <c r="I15" s="52"/>
      <c r="J15" s="52"/>
      <c r="K15" s="52"/>
      <c r="L15" s="52"/>
    </row>
    <row r="16" spans="3:12" x14ac:dyDescent="0.25">
      <c r="C16" s="23" t="s">
        <v>9</v>
      </c>
      <c r="D16" s="36"/>
      <c r="E16" t="s">
        <v>17</v>
      </c>
      <c r="F16" s="32">
        <v>0</v>
      </c>
      <c r="G16" s="52"/>
      <c r="H16" s="52"/>
      <c r="I16" s="52"/>
      <c r="J16" s="52"/>
      <c r="K16" s="52"/>
      <c r="L16" s="52"/>
    </row>
    <row r="17" spans="3:12" x14ac:dyDescent="0.25">
      <c r="C17" s="23" t="s">
        <v>46</v>
      </c>
      <c r="D17" s="36"/>
      <c r="F17" s="32">
        <v>3</v>
      </c>
      <c r="G17" s="52"/>
      <c r="H17" s="52"/>
      <c r="I17" s="52"/>
      <c r="J17" s="52"/>
      <c r="K17" s="52"/>
      <c r="L17" s="52"/>
    </row>
    <row r="18" spans="3:12" x14ac:dyDescent="0.25">
      <c r="C18" s="23" t="s">
        <v>4</v>
      </c>
      <c r="D18" s="36"/>
      <c r="F18" s="33">
        <v>6</v>
      </c>
      <c r="G18" s="55"/>
      <c r="H18" s="56" t="s">
        <v>8</v>
      </c>
      <c r="I18" s="55"/>
      <c r="J18" s="57" t="s">
        <v>15</v>
      </c>
      <c r="K18" s="55"/>
      <c r="L18" s="55"/>
    </row>
    <row r="19" spans="3:12" x14ac:dyDescent="0.25">
      <c r="C19" s="23" t="s">
        <v>38</v>
      </c>
      <c r="D19" s="36"/>
      <c r="F19" s="33" t="s">
        <v>2</v>
      </c>
      <c r="G19" s="55" t="s">
        <v>1</v>
      </c>
      <c r="H19" s="56">
        <v>19</v>
      </c>
      <c r="I19" s="55"/>
      <c r="J19" s="57">
        <v>1.1000000000000001</v>
      </c>
      <c r="K19" s="55" t="s">
        <v>76</v>
      </c>
      <c r="L19" s="55"/>
    </row>
    <row r="20" spans="3:12" x14ac:dyDescent="0.25">
      <c r="C20" s="23" t="s">
        <v>57</v>
      </c>
      <c r="D20" s="36"/>
      <c r="E20" t="s">
        <v>58</v>
      </c>
      <c r="F20" s="33">
        <v>0</v>
      </c>
      <c r="G20" s="55" t="s">
        <v>2</v>
      </c>
      <c r="H20" s="55"/>
      <c r="I20" s="55"/>
      <c r="J20" s="55"/>
      <c r="K20" s="55"/>
      <c r="L20" s="55"/>
    </row>
    <row r="21" spans="3:12" x14ac:dyDescent="0.25">
      <c r="C21" s="23" t="s">
        <v>47</v>
      </c>
      <c r="D21" s="36"/>
      <c r="E21" t="s">
        <v>19</v>
      </c>
      <c r="F21" s="33">
        <v>22</v>
      </c>
      <c r="G21" s="55"/>
      <c r="H21" s="55"/>
      <c r="I21" s="55"/>
      <c r="J21" s="55"/>
      <c r="K21" s="55"/>
      <c r="L21" s="55"/>
    </row>
    <row r="22" spans="3:12" x14ac:dyDescent="0.25">
      <c r="C22" s="23" t="s">
        <v>3</v>
      </c>
      <c r="D22" s="36"/>
      <c r="F22" s="33">
        <v>11</v>
      </c>
      <c r="G22" s="55"/>
      <c r="H22" s="55"/>
      <c r="I22" s="55"/>
      <c r="J22" s="55"/>
      <c r="K22" s="55"/>
      <c r="L22" s="55"/>
    </row>
    <row r="23" spans="3:12" x14ac:dyDescent="0.25">
      <c r="C23" s="23" t="s">
        <v>50</v>
      </c>
      <c r="D23" s="36"/>
      <c r="E23" t="s">
        <v>17</v>
      </c>
      <c r="F23" s="33">
        <v>500</v>
      </c>
      <c r="G23" s="55"/>
      <c r="H23" s="55"/>
      <c r="I23" s="55"/>
      <c r="J23" s="55"/>
      <c r="K23" s="55"/>
      <c r="L23" s="55"/>
    </row>
    <row r="24" spans="3:12" x14ac:dyDescent="0.25">
      <c r="C24" s="23" t="s">
        <v>7</v>
      </c>
      <c r="D24" s="35"/>
      <c r="E24" t="s">
        <v>17</v>
      </c>
      <c r="F24" s="33">
        <v>20000</v>
      </c>
      <c r="G24" s="58" t="s">
        <v>10</v>
      </c>
      <c r="H24" s="58">
        <f>IF(ISBLANK(D28),IF(D12="oui",D11*((E42*D22)/300),D11),IF(D29="oui",D28*((E42*D22)/300),D28))</f>
        <v>0</v>
      </c>
      <c r="I24" s="59" t="s">
        <v>16</v>
      </c>
      <c r="J24" s="59">
        <f>IF(ISBLANK(D30),D13*J19,D30*J19)</f>
        <v>0</v>
      </c>
      <c r="K24" s="55"/>
      <c r="L24" s="55"/>
    </row>
    <row r="25" spans="3:12" x14ac:dyDescent="0.25">
      <c r="C25" s="23" t="s">
        <v>6</v>
      </c>
      <c r="D25" s="37"/>
      <c r="F25" s="31">
        <v>16</v>
      </c>
      <c r="G25" s="57"/>
      <c r="H25" s="57" t="s">
        <v>22</v>
      </c>
      <c r="I25" s="57" t="s">
        <v>23</v>
      </c>
      <c r="J25" s="57" t="s">
        <v>24</v>
      </c>
      <c r="K25" s="57" t="s">
        <v>25</v>
      </c>
      <c r="L25" s="57" t="s">
        <v>26</v>
      </c>
    </row>
    <row r="26" spans="3:12" x14ac:dyDescent="0.25">
      <c r="C26" s="25"/>
      <c r="D26" s="26"/>
      <c r="F26" s="28"/>
      <c r="G26" s="57" t="s">
        <v>11</v>
      </c>
      <c r="H26" s="57">
        <f>(H24+D32-D33)/7+D24+(E42*D22*(H19+J24))</f>
        <v>0</v>
      </c>
      <c r="I26" s="57">
        <f>(E42*D22*(H19))</f>
        <v>0</v>
      </c>
      <c r="J26" s="60">
        <f>D24</f>
        <v>0</v>
      </c>
      <c r="K26" s="57">
        <f>(H24+D32-D33)/7</f>
        <v>0</v>
      </c>
      <c r="L26" s="57">
        <f>(E42*D22*(J24))</f>
        <v>0</v>
      </c>
    </row>
    <row r="27" spans="3:12" ht="18.75" x14ac:dyDescent="0.3">
      <c r="C27" s="27" t="s">
        <v>52</v>
      </c>
      <c r="D27" s="44"/>
      <c r="F27" s="2"/>
      <c r="G27" s="57" t="s">
        <v>12</v>
      </c>
      <c r="H27" s="57">
        <f>(H24+D32-D33)/7+D24*1.4+(E42*D22*(H19+J24))</f>
        <v>0</v>
      </c>
      <c r="I27" s="57">
        <f>(E42*D22*(H19))</f>
        <v>0</v>
      </c>
      <c r="J27" s="60">
        <f>D24*((100+D20)/100)</f>
        <v>0</v>
      </c>
      <c r="K27" s="57">
        <f>(H24+D32-D33)/7</f>
        <v>0</v>
      </c>
      <c r="L27" s="57">
        <f>(E42*D22*(J24))</f>
        <v>0</v>
      </c>
    </row>
    <row r="28" spans="3:12" x14ac:dyDescent="0.25">
      <c r="C28" s="23" t="s">
        <v>33</v>
      </c>
      <c r="D28" s="38"/>
      <c r="E28" t="s">
        <v>17</v>
      </c>
      <c r="F28" s="33">
        <v>35000</v>
      </c>
      <c r="G28" s="57"/>
      <c r="H28" s="57"/>
      <c r="I28" s="57"/>
      <c r="J28" s="57"/>
      <c r="K28" s="57"/>
      <c r="L28" s="57"/>
    </row>
    <row r="29" spans="3:12" x14ac:dyDescent="0.25">
      <c r="C29" s="23" t="s">
        <v>21</v>
      </c>
      <c r="D29" s="36"/>
      <c r="F29" s="33" t="s">
        <v>1</v>
      </c>
      <c r="G29" s="57"/>
      <c r="H29" s="57"/>
      <c r="I29" s="57"/>
      <c r="J29" s="57"/>
      <c r="K29" s="57"/>
      <c r="L29" s="57"/>
    </row>
    <row r="30" spans="3:12" x14ac:dyDescent="0.25">
      <c r="C30" s="23" t="s">
        <v>32</v>
      </c>
      <c r="D30" s="36"/>
      <c r="E30" t="s">
        <v>18</v>
      </c>
      <c r="F30" s="33">
        <v>10</v>
      </c>
      <c r="G30" s="57"/>
      <c r="H30" s="57"/>
      <c r="I30" s="57"/>
      <c r="J30" s="57"/>
      <c r="K30" s="57"/>
      <c r="L30" s="57"/>
    </row>
    <row r="31" spans="3:12" x14ac:dyDescent="0.25">
      <c r="C31" s="23" t="s">
        <v>45</v>
      </c>
      <c r="D31" s="36"/>
      <c r="E31" t="s">
        <v>30</v>
      </c>
      <c r="F31" s="33">
        <v>5</v>
      </c>
      <c r="G31" s="57" t="s">
        <v>13</v>
      </c>
      <c r="H31" s="57">
        <f>(H24+D32-D33)/7+(D24*0.6)+((E42*D22*(H19+J24)))</f>
        <v>0</v>
      </c>
      <c r="I31" s="57">
        <f>((E42*D22*(H19)))</f>
        <v>0</v>
      </c>
      <c r="J31" s="57">
        <f>(D24*(100-D37)/100)</f>
        <v>0</v>
      </c>
      <c r="K31" s="57">
        <f>(H24+D32-D33)/7</f>
        <v>0</v>
      </c>
      <c r="L31" s="57">
        <f>((E42*D22*(J24)))</f>
        <v>0</v>
      </c>
    </row>
    <row r="32" spans="3:12" x14ac:dyDescent="0.25">
      <c r="C32" s="23" t="s">
        <v>37</v>
      </c>
      <c r="D32" s="35"/>
      <c r="E32" t="s">
        <v>17</v>
      </c>
      <c r="F32" s="33">
        <v>35000</v>
      </c>
      <c r="G32" s="57" t="s">
        <v>14</v>
      </c>
      <c r="H32" s="57">
        <f>(H24+D32-D33)/7+D24+(E42*D22*(H19+J24))</f>
        <v>0</v>
      </c>
      <c r="I32" s="57">
        <f>(E42*D22*(H19))</f>
        <v>0</v>
      </c>
      <c r="J32" s="60">
        <f>D24</f>
        <v>0</v>
      </c>
      <c r="K32" s="57">
        <f>(H24+D32-D33)/7</f>
        <v>0</v>
      </c>
      <c r="L32" s="57">
        <f>(E42*D22*(J24))</f>
        <v>0</v>
      </c>
    </row>
    <row r="33" spans="3:12" x14ac:dyDescent="0.25">
      <c r="C33" s="23" t="s">
        <v>9</v>
      </c>
      <c r="D33" s="35"/>
      <c r="E33" t="s">
        <v>17</v>
      </c>
      <c r="F33" s="33">
        <v>12000</v>
      </c>
    </row>
    <row r="34" spans="3:12" x14ac:dyDescent="0.25">
      <c r="C34" s="23" t="s">
        <v>46</v>
      </c>
      <c r="D34" s="36"/>
      <c r="F34" s="33">
        <v>2</v>
      </c>
      <c r="G34" s="2"/>
      <c r="H34" s="2"/>
      <c r="I34" s="2"/>
      <c r="J34" s="2"/>
      <c r="K34" s="2"/>
      <c r="L34" s="2"/>
    </row>
    <row r="35" spans="3:12" x14ac:dyDescent="0.25">
      <c r="C35" s="23" t="s">
        <v>4</v>
      </c>
      <c r="D35" s="36"/>
      <c r="F35" s="33">
        <v>4</v>
      </c>
    </row>
    <row r="36" spans="3:12" x14ac:dyDescent="0.25">
      <c r="C36" s="23" t="s">
        <v>38</v>
      </c>
      <c r="D36" s="36"/>
      <c r="F36" s="33" t="s">
        <v>1</v>
      </c>
    </row>
    <row r="37" spans="3:12" x14ac:dyDescent="0.25">
      <c r="C37" s="23" t="s">
        <v>57</v>
      </c>
      <c r="D37" s="36"/>
      <c r="E37" t="s">
        <v>58</v>
      </c>
      <c r="F37" s="33">
        <v>35</v>
      </c>
    </row>
    <row r="41" spans="3:12" x14ac:dyDescent="0.25">
      <c r="C41" s="5" t="s">
        <v>36</v>
      </c>
      <c r="D41" s="14" t="s">
        <v>5</v>
      </c>
      <c r="E41" s="14" t="s">
        <v>53</v>
      </c>
      <c r="F41" s="12" t="s">
        <v>65</v>
      </c>
    </row>
    <row r="42" spans="3:12" x14ac:dyDescent="0.25">
      <c r="C42" s="4" t="s">
        <v>20</v>
      </c>
      <c r="D42" s="15">
        <f>D21</f>
        <v>0</v>
      </c>
      <c r="E42" s="15">
        <f>IF(D35=0,,I13+IF(ISBLANK(D31),H13*(D18/D35),IF(ISBLANK(D14),H13*(D18/D35),H13*(D18/D35)*(D14/D31))))</f>
        <v>0</v>
      </c>
      <c r="F42" s="39">
        <f>E42-D42</f>
        <v>0</v>
      </c>
    </row>
    <row r="43" spans="3:12" x14ac:dyDescent="0.25">
      <c r="C43" s="4" t="s">
        <v>6</v>
      </c>
      <c r="D43" s="16">
        <f>D25</f>
        <v>0</v>
      </c>
      <c r="E43" s="16">
        <f>IF(D19="oui",(IF(D36="oui",D25,D25*((100+D37)/100))),(IF(D36="oui",D25*((100-D37)/100),D25)))</f>
        <v>0</v>
      </c>
      <c r="F43" s="40">
        <f t="shared" ref="F43:F50" si="0">E43-D43</f>
        <v>0</v>
      </c>
    </row>
    <row r="44" spans="3:12" x14ac:dyDescent="0.25">
      <c r="C44" s="4" t="s">
        <v>34</v>
      </c>
      <c r="D44" s="17">
        <f>D21*D22*H19</f>
        <v>0</v>
      </c>
      <c r="E44" s="21">
        <f>IF(D19="oui",IF(D36="oui",I26,I27),IF(D36="oui",I31,I32))</f>
        <v>0</v>
      </c>
      <c r="F44" s="41">
        <f t="shared" si="0"/>
        <v>0</v>
      </c>
    </row>
    <row r="45" spans="3:12" x14ac:dyDescent="0.25">
      <c r="C45" s="4" t="s">
        <v>27</v>
      </c>
      <c r="D45" s="17">
        <f>D24</f>
        <v>0</v>
      </c>
      <c r="E45" s="21">
        <f>IF(D19="oui",IF(D36="oui",J26,J27),IF(D36="oui",J31,J32))</f>
        <v>0</v>
      </c>
      <c r="F45" s="41">
        <f t="shared" si="0"/>
        <v>0</v>
      </c>
    </row>
    <row r="46" spans="3:12" x14ac:dyDescent="0.25">
      <c r="C46" s="4" t="s">
        <v>28</v>
      </c>
      <c r="D46" s="17">
        <f>IF(D12="oui",(((D11*((D22*D21)/300)+D15-D16)/7)),(((D11+D15-D16)/7)))</f>
        <v>0</v>
      </c>
      <c r="E46" s="21">
        <f>IF(D19="oui",IF(D36="oui",K26,K27),IF(D36="oui",K31,K32))</f>
        <v>0</v>
      </c>
      <c r="F46" s="41">
        <f t="shared" si="0"/>
        <v>0</v>
      </c>
    </row>
    <row r="47" spans="3:12" x14ac:dyDescent="0.25">
      <c r="C47" s="4" t="s">
        <v>42</v>
      </c>
      <c r="D47" s="17">
        <f>D22*D21*D13*J19</f>
        <v>0</v>
      </c>
      <c r="E47" s="21">
        <f>IF(D19="oui",IF(D36="oui",L26,L27),IF(D36="oui",L31,L32))</f>
        <v>0</v>
      </c>
      <c r="F47" s="41">
        <f t="shared" si="0"/>
        <v>0</v>
      </c>
    </row>
    <row r="48" spans="3:12" x14ac:dyDescent="0.25">
      <c r="C48" s="4" t="s">
        <v>29</v>
      </c>
      <c r="D48" s="17">
        <f>IF(D12="oui",(((D11*((D22*D21)/500)+D15-D16)/7)+D24+(D21*D22*(H19+(D13*J19)))),(((D11+D15-D16)/7)+D24+(D21*D22*(H19+(D13*J19)))))</f>
        <v>0</v>
      </c>
      <c r="E48" s="21">
        <f>IF(D19="oui",IF(D36="oui",H26,H27),IF(D36="oui",H31,H32))</f>
        <v>0</v>
      </c>
      <c r="F48" s="41">
        <f t="shared" si="0"/>
        <v>0</v>
      </c>
    </row>
    <row r="49" spans="1:7" x14ac:dyDescent="0.25">
      <c r="C49" s="11" t="s">
        <v>62</v>
      </c>
      <c r="D49" s="18">
        <f>IF(D10=0,0,D48/D10)</f>
        <v>0</v>
      </c>
      <c r="E49" s="22">
        <f>IF(D10=0,0,E48/D10)</f>
        <v>0</v>
      </c>
      <c r="F49" s="42">
        <f t="shared" si="0"/>
        <v>0</v>
      </c>
    </row>
    <row r="50" spans="1:7" x14ac:dyDescent="0.25">
      <c r="C50" s="4" t="s">
        <v>61</v>
      </c>
      <c r="D50" s="17">
        <f>IFERROR(D48/D22,0)</f>
        <v>0</v>
      </c>
      <c r="E50" s="21">
        <f>IFERROR(E48/D22,0)</f>
        <v>0</v>
      </c>
      <c r="F50" s="41">
        <f>IFERROR(E50-D50,0)</f>
        <v>0</v>
      </c>
    </row>
    <row r="51" spans="1:7" x14ac:dyDescent="0.25">
      <c r="C51" s="4"/>
      <c r="D51" s="17"/>
      <c r="E51" s="3"/>
    </row>
    <row r="52" spans="1:7" x14ac:dyDescent="0.25">
      <c r="F52" s="45" t="s">
        <v>72</v>
      </c>
    </row>
    <row r="53" spans="1:7" x14ac:dyDescent="0.25">
      <c r="F53" s="45"/>
    </row>
    <row r="54" spans="1:7" x14ac:dyDescent="0.25">
      <c r="A54" s="51" t="s">
        <v>59</v>
      </c>
      <c r="B54" s="4"/>
      <c r="C54" s="4"/>
    </row>
    <row r="55" spans="1:7" x14ac:dyDescent="0.25">
      <c r="A55" s="51" t="s">
        <v>60</v>
      </c>
      <c r="B55" s="4"/>
      <c r="C55" s="4"/>
    </row>
    <row r="56" spans="1:7" x14ac:dyDescent="0.25">
      <c r="A56" s="51" t="s">
        <v>75</v>
      </c>
      <c r="B56" s="4"/>
      <c r="C56" s="4"/>
    </row>
    <row r="57" spans="1:7" x14ac:dyDescent="0.25">
      <c r="A57" s="51" t="s">
        <v>77</v>
      </c>
      <c r="B57" s="4"/>
      <c r="C57" s="4"/>
    </row>
    <row r="58" spans="1:7" ht="18.75" x14ac:dyDescent="0.3">
      <c r="A58" s="7" t="s">
        <v>54</v>
      </c>
      <c r="D58" s="19"/>
      <c r="E58" s="8"/>
      <c r="F58" s="9"/>
      <c r="G58" s="9"/>
    </row>
    <row r="59" spans="1:7" ht="18.75" x14ac:dyDescent="0.3">
      <c r="A59" s="7" t="s">
        <v>55</v>
      </c>
      <c r="D59" s="20"/>
      <c r="E59" s="9"/>
      <c r="F59" s="9"/>
      <c r="G59" s="9"/>
    </row>
    <row r="60" spans="1:7" ht="18.75" x14ac:dyDescent="0.3">
      <c r="A60" s="7" t="s">
        <v>64</v>
      </c>
      <c r="D60" s="20"/>
      <c r="E60" s="9"/>
      <c r="F60" s="9"/>
      <c r="G60" s="9"/>
    </row>
    <row r="61" spans="1:7" ht="18.75" x14ac:dyDescent="0.3">
      <c r="A61" s="10" t="s">
        <v>63</v>
      </c>
    </row>
    <row r="62" spans="1:7" ht="18.75" x14ac:dyDescent="0.3">
      <c r="A62" s="10" t="s">
        <v>71</v>
      </c>
    </row>
    <row r="63" spans="1:7" ht="18.75" x14ac:dyDescent="0.3">
      <c r="A63" s="10" t="s">
        <v>67</v>
      </c>
    </row>
  </sheetData>
  <sheetProtection algorithmName="SHA-512" hashValue="2JJ75D0NZV2bwFMtJl97DpaDpFo1M/J4HcvjbzqBQ/i495ENYT8DjpBzFG+s3FSFwZqZjn4oo3N6hDPrf8it9w==" saltValue="LP8lD4/QTenMX6vOF7AaUg==" spinCount="100000" sheet="1" selectLockedCells="1"/>
  <protectedRanges>
    <protectedRange sqref="D10:D37" name="Plage1"/>
  </protectedRanges>
  <customSheetViews>
    <customSheetView guid="{C339F036-BF73-40DC-848E-64FC405E3A6A}" fitToPage="1" hiddenColumns="1">
      <pane xSplit="2" ySplit="8" topLeftCell="C9" activePane="bottomRight" state="frozen"/>
      <selection pane="bottomRight" activeCell="D12" sqref="D12"/>
      <pageMargins left="0.7" right="0.7" top="0.75" bottom="0.75" header="0.3" footer="0.3"/>
      <pageSetup paperSize="9" scale="62" orientation="portrait" r:id="rId1"/>
    </customSheetView>
  </customSheetViews>
  <phoneticPr fontId="13" type="noConversion"/>
  <dataValidations count="1">
    <dataValidation type="list" allowBlank="1" showInputMessage="1" showErrorMessage="1" sqref="D29 D12 D36 D19" xr:uid="{00000000-0002-0000-0000-000000000000}">
      <formula1>Confiné</formula1>
    </dataValidation>
  </dataValidations>
  <pageMargins left="0.7" right="0.7" top="0.75" bottom="0.75" header="0.3" footer="0.3"/>
  <pageSetup paperSize="9" scale="62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5" sqref="B25"/>
    </sheetView>
  </sheetViews>
  <sheetFormatPr baseColWidth="10" defaultRowHeight="15" x14ac:dyDescent="0.25"/>
  <sheetData/>
  <customSheetViews>
    <customSheetView guid="{C339F036-BF73-40DC-848E-64FC405E3A6A}">
      <selection activeCell="B25" sqref="B2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Confiné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</dc:creator>
  <cp:lastModifiedBy>Arthur GAUBEY</cp:lastModifiedBy>
  <cp:lastPrinted>2016-11-20T18:19:14Z</cp:lastPrinted>
  <dcterms:created xsi:type="dcterms:W3CDTF">2016-06-20T07:31:52Z</dcterms:created>
  <dcterms:modified xsi:type="dcterms:W3CDTF">2024-09-03T14:39:57Z</dcterms:modified>
</cp:coreProperties>
</file>